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<sst xmlns="http://schemas.openxmlformats.org/spreadsheetml/2006/main" count="64" uniqueCount="62">
  <si>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What is the actual skill coefficient of iDuelist?</t>
  </si>
  <si>
    <t>base vs 2500 armor</t>
  </si>
  <si>
    <t>DPS vs 2500 armor</t>
  </si>
  <si>
    <t>(assuming add)</t>
  </si>
  <si>
    <t>unload vs 2000 armor</t>
  </si>
  <si>
    <t>HP</t>
  </si>
  <si>
    <t>bleed dmg/unload</t>
  </si>
  <si>
    <t>unload vs 2500 armor</t>
  </si>
  <si>
    <t>Are Empowering Illusions and Phantasmal Strength additive or multiplicative?</t>
  </si>
  <si>
    <t>Crit Chance (%)</t>
  </si>
  <si>
    <t>base vs 3000 armor</t>
  </si>
  <si>
    <t>Defense</t>
  </si>
  <si>
    <t>Weapon Damage</t>
  </si>
  <si>
    <t>Toughness</t>
  </si>
  <si>
    <t>DPS vs 2000 armor</t>
  </si>
  <si>
    <t>DPS vs 3000 armor</t>
  </si>
  <si>
    <t>Base Stats</t>
  </si>
  <si>
    <t>Condition Damage</t>
  </si>
  <si>
    <t>http://www.guildwars2guru.com/topic/28439-critical-chance-and-attack-and-the-calculating-of-them/</t>
  </si>
  <si>
    <t>Power</t>
  </si>
  <si>
    <t>Undead Rampager (J+A)</t>
  </si>
  <si>
    <t>Sources</t>
  </si>
  <si>
    <t>Chaotic Transference</t>
  </si>
  <si>
    <t>Dueling</t>
  </si>
  <si>
    <t>Phantasmal Strength</t>
  </si>
  <si>
    <t>iDuelist Skill Coefficient</t>
  </si>
  <si>
    <t>Precision</t>
  </si>
  <si>
    <t>Unload Period (s)</t>
  </si>
  <si>
    <t>http://wiki.guildwars2.com/wiki/Bleeding</t>
  </si>
  <si>
    <t>Divinity Rabid (J+A)</t>
  </si>
  <si>
    <t>Healing</t>
  </si>
  <si>
    <t>Domination</t>
  </si>
  <si>
    <t>Undead Rabid (J+A)</t>
  </si>
  <si>
    <t>unload vs 3000 armor</t>
  </si>
  <si>
    <t>Questions</t>
  </si>
  <si>
    <t>Crit Damage (+%)</t>
  </si>
  <si>
    <t>base vs 2000 armor</t>
  </si>
  <si>
    <t>Inspiration</t>
  </si>
  <si>
    <t>Compounding Power (x3)</t>
  </si>
  <si>
    <t>http://teamlegacy.net/topic/7265-math-might-vulnerability-and-toughness-isnt-good-in-spvp/</t>
  </si>
  <si>
    <t>Vitality</t>
  </si>
  <si>
    <t>Lyssa Rabid(J+A)</t>
  </si>
  <si>
    <t>Lyssa Rampager (J+A)</t>
  </si>
  <si>
    <t>Illusions</t>
  </si>
  <si>
    <t>Attack</t>
  </si>
  <si>
    <t>Is plus condition duration gear additive or multiplicative w/ expertise?</t>
  </si>
  <si>
    <t>Phantasmal Fury</t>
  </si>
  <si>
    <t>(assuming mult)</t>
  </si>
  <si>
    <t>http://wiki.guildwars2.com/wiki/Illusionary_Duelist</t>
  </si>
  <si>
    <t>iDuelist Avg Crits</t>
  </si>
  <si>
    <t>avg bleed dmg/tick</t>
  </si>
  <si>
    <t>Divinity Rampager (J+A)</t>
  </si>
  <si>
    <t>Divinity Berserker (J+A)</t>
  </si>
  <si>
    <t>http://www.gw2build.com/builds/simulator.php</t>
  </si>
  <si>
    <t>Empowered Illusions</t>
  </si>
  <si>
    <t>Armor</t>
  </si>
  <si>
    <t>http://www.guildwars2guru.com/topic/37607-attack-vs-precision/</t>
  </si>
  <si>
    <t>Phantasmal Haste</t>
  </si>
  <si>
    <t>Condition Duration (+%)</t>
  </si>
  <si>
    <t>Chaos</t>
  </si>
  <si>
    <t>w/sword+pistol</t>
  </si>
  <si>
    <t>avg bleed duration (s)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</si>
</sst>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xSplit="1" ySplit="1" topLeftCell="B2" activePane="bottomRight" state="frozen"/>
      <selection pane="topLeft" activeCell="A1" sqref="A1"/>
      <selection pane="bottomLeft" activeCell="A2" sqref="A2"/>
      <selection pane="topRight" activeCell="B1" sqref="B1"/>
      <selection pane="bottomRight" activeCell="B2" sqref="B2"/>
    </sheetView>
  </sheetViews>
  <sheetFormatPr defaultColWidth="17.140625" defaultRowHeight="12.75" customHeight="1"/>
  <cols>
    <col min="1" max="1" width="22.28125" style="0" customWidth="1"/>
    <col min="2" max="2" width="17.140625" style="0" customWidth="1"/>
    <col min="3" max="3" width="16.140625" style="0" customWidth="1"/>
    <col min="4" max="4" width="31.140625" style="0" customWidth="1"/>
    <col min="5" max="5" width="31.8515625" style="0" customWidth="1"/>
    <col min="6" max="6" width="24.28125" style="0" customWidth="1"/>
    <col min="7" max="7" width="21.7109375" style="0" customWidth="1"/>
    <col min="8" max="8" width="20.140625" style="0" customWidth="1"/>
    <col min="9" max="9" width="23.00390625" style="0" customWidth="1"/>
    <col min="10" max="10" width="17.140625" style="0" customWidth="1"/>
    <col min="11" max="11" width="22.28125" style="0" customWidth="1"/>
    <col min="12" max="12" width="23.28125" style="0" customWidth="1"/>
    <col min="13" max="13" width="21.8515625" style="0" customWidth="1"/>
    <col min="14" max="23" width="17.140625" style="0" customWidth="1"/>
  </cols>
  <sheetData>
    <row r="1" spans="2:12" ht="28.5">
      <c r="B1" s="1" t="s">
        <v>16</v>
      </c>
      <c r="C1" s="1" t="s">
        <v>60</v>
      </c>
      <c r="D1" s="1" t="s">
        <v>52</v>
      </c>
      <c r="E1" s="1" t="s">
        <v>52</v>
      </c>
      <c r="F1" s="1" t="s">
        <v>29</v>
      </c>
      <c r="G1" s="1" t="s">
        <v>51</v>
      </c>
      <c r="H1" s="1" t="s">
        <v>32</v>
      </c>
      <c r="I1" s="1" t="s">
        <v>20</v>
      </c>
      <c r="J1" s="1" t="s">
        <v>41</v>
      </c>
      <c r="K1" s="1" t="s">
        <v>42</v>
      </c>
      <c r="L1" s="1" t="s">
        <v>42</v>
      </c>
    </row>
    <row r="2" spans="1:12" ht="14.25">
      <c r="A2" s="1" t="s">
        <v>19</v>
      </c>
      <c r="B2" s="1">
        <v>916</v>
      </c>
      <c r="C2" s="1">
        <f>B2+(10*C17)</f>
      </c>
      <c r="D2" s="1">
        <f>1899+(10*D17)</f>
      </c>
      <c r="E2" s="1">
        <f>1899+(10*E17)</f>
      </c>
      <c r="F2" s="1">
        <f>976+(10*F17)</f>
      </c>
      <c r="G2" s="1">
        <f>1305+(10*G17)</f>
      </c>
      <c r="H2" s="1">
        <f>916+(10*H17)</f>
      </c>
      <c r="I2" s="1">
        <f>1245+(10*I17)</f>
      </c>
      <c r="J2" s="1">
        <f>916+(10*J17)</f>
      </c>
      <c r="K2" s="1">
        <f>1245+(10*K17)</f>
      </c>
      <c r="L2" s="1">
        <f>1245+(10*L17)</f>
      </c>
    </row>
    <row r="3" spans="1:12" ht="14.25">
      <c r="A3" s="1" t="s">
        <v>26</v>
      </c>
      <c r="B3" s="1">
        <v>916</v>
      </c>
      <c r="C3" s="1">
        <f>B3+(10*C18)</f>
      </c>
      <c r="D3" s="1">
        <f>(10*D18)+1620</f>
      </c>
      <c r="E3" s="1">
        <f>(10*E18)+1620</f>
      </c>
      <c r="F3" s="1">
        <f>(10*F18)+1620</f>
      </c>
      <c r="G3" s="1">
        <f>(10*G18)+1899</f>
      </c>
      <c r="H3" s="1">
        <f>(10*H18)+1560</f>
      </c>
      <c r="I3" s="1">
        <f>(10*I18)+1839</f>
      </c>
      <c r="J3" s="1">
        <f>(10*J18)+1725</f>
      </c>
      <c r="K3" s="1">
        <f>(10*K18)+2004</f>
      </c>
      <c r="L3" s="1">
        <f>(10*L18)+2004</f>
      </c>
    </row>
    <row r="4" spans="1:12" ht="14.25">
      <c r="A4" s="1" t="s">
        <v>13</v>
      </c>
      <c r="B4" s="1">
        <v>916</v>
      </c>
      <c r="C4" s="1">
        <f>B4+(10*C19)</f>
      </c>
      <c r="D4" s="1">
        <f>(10*D19)+976</f>
      </c>
      <c r="E4" s="1">
        <f>(10*E19)+976</f>
      </c>
      <c r="F4" s="1">
        <f>(10*F19)+1620</f>
      </c>
      <c r="G4" s="1">
        <f>(10*G19)+976</f>
      </c>
      <c r="H4" s="1">
        <f>(10*H19)+1610</f>
      </c>
      <c r="I4" s="1">
        <f>(10*I19)+996</f>
      </c>
      <c r="J4" s="1">
        <f>(10*J19)+1560</f>
      </c>
      <c r="K4" s="1">
        <f>(10*K19)+916</f>
      </c>
      <c r="L4" s="1">
        <f>(10*L19)+916</f>
      </c>
    </row>
    <row r="5" spans="1:12" ht="14.25">
      <c r="A5" s="1" t="s">
        <v>40</v>
      </c>
      <c r="B5" s="1">
        <v>916</v>
      </c>
      <c r="C5" s="1">
        <f>B5+(10*C20)</f>
      </c>
      <c r="D5" s="1">
        <f>(10*D20)+1305</f>
      </c>
      <c r="E5" s="1">
        <f>(10*E20)+1305</f>
      </c>
      <c r="F5" s="1">
        <f>(10*F20)+976</f>
      </c>
      <c r="G5" s="1">
        <f>(10*G20)+1305</f>
      </c>
      <c r="H5" s="1">
        <f>(10*H20)+916</f>
      </c>
      <c r="I5" s="1">
        <f>(10*I20)+1245</f>
      </c>
      <c r="J5" s="1">
        <f>(10*J20)+916</f>
      </c>
      <c r="K5" s="1">
        <f>(10*K20)+1245</f>
      </c>
      <c r="L5" s="1">
        <f>(10*L20)+1245</f>
      </c>
    </row>
    <row r="6" spans="1:12" ht="14.25">
      <c r="A6" s="1" t="s">
        <v>44</v>
      </c>
      <c r="B6" s="1">
        <f>B2+B7</f>
      </c>
      <c r="C6" s="1">
        <f>C2+C7</f>
      </c>
      <c r="D6" s="1">
        <f>D2+D7</f>
      </c>
      <c r="E6" s="1">
        <f>E2+E7</f>
      </c>
      <c r="F6" s="1">
        <f>F2+F7</f>
      </c>
      <c r="G6" s="1">
        <f>G2+G7</f>
      </c>
      <c r="H6" s="1">
        <f>H2+H7</f>
      </c>
      <c r="I6" s="1">
        <f>I2+I7</f>
      </c>
      <c r="J6" s="1">
        <f>J2+J7</f>
      </c>
      <c r="K6" s="1">
        <f>K2+K7</f>
      </c>
      <c r="L6" s="1">
        <f>L2+L7</f>
      </c>
    </row>
    <row r="7" spans="1:12" ht="14.25">
      <c r="A7" s="1" t="s">
        <v>12</v>
      </c>
      <c r="B7" s="1">
        <v>0</v>
      </c>
      <c r="C7" s="1">
        <v>1016</v>
      </c>
      <c r="D7" s="1">
        <v>1016</v>
      </c>
      <c r="E7" s="1">
        <v>1016</v>
      </c>
      <c r="F7" s="1">
        <v>1016</v>
      </c>
      <c r="G7" s="1">
        <v>1016</v>
      </c>
      <c r="H7" s="1">
        <v>1016</v>
      </c>
      <c r="I7" s="1">
        <v>1016</v>
      </c>
      <c r="J7" s="1">
        <v>1016</v>
      </c>
      <c r="K7" s="1">
        <v>1016</v>
      </c>
      <c r="L7" s="1">
        <v>1016</v>
      </c>
    </row>
    <row r="8" spans="1:12" ht="28.5">
      <c r="A8" s="1" t="s">
        <v>17</v>
      </c>
      <c r="B8" s="1">
        <v>0</v>
      </c>
      <c r="C8" s="1">
        <f>C21</f>
      </c>
      <c r="D8" s="1">
        <f>(D21*10)+((D4*D23)*0.05)</f>
      </c>
      <c r="E8" s="1">
        <f>(E21*10)+((E4*E23)*0.05)</f>
      </c>
      <c r="F8" s="1">
        <f>((F21*10)+923)+((F23*F4)*0.05)</f>
      </c>
      <c r="G8" s="1">
        <f>((G21*10)+644)+((G23*G4)*0.05)</f>
      </c>
      <c r="H8" s="1">
        <f>(((H21*10)+1106)+((H23*H4)*0.05))+(0.05*H4)</f>
      </c>
      <c r="I8" s="1">
        <f>(((I21*10)+827)+((I23*I4)*0.05))+(0.05*I4)</f>
      </c>
      <c r="J8" s="1">
        <f>((J21*10)+923)+((J23*J4)*0.05)</f>
      </c>
      <c r="K8" s="1">
        <f>((K21*10)+644)+((K23*K4)*0.05)</f>
      </c>
      <c r="L8" s="1">
        <f>((L21*10)+644)+((L23*L4)*0.05)</f>
      </c>
    </row>
    <row r="9" spans="1:12" ht="28.5">
      <c r="A9" s="1" t="s">
        <v>58</v>
      </c>
      <c r="B9" s="1">
        <v>0</v>
      </c>
      <c r="C9" s="1">
        <f>C17</f>
      </c>
      <c r="D9" s="1">
        <f>D17</f>
      </c>
      <c r="E9" s="1">
        <f>E17</f>
      </c>
      <c r="F9" s="1">
        <f>F17</f>
      </c>
      <c r="G9" s="1">
        <f>G17</f>
      </c>
      <c r="H9" s="1">
        <f>H17</f>
      </c>
      <c r="I9" s="1">
        <f>I17</f>
      </c>
      <c r="J9" s="1">
        <f>J17+10</f>
      </c>
      <c r="K9" s="1">
        <f>K17+10</f>
      </c>
      <c r="L9" s="1">
        <f>L17+10</f>
      </c>
    </row>
    <row r="10" spans="1:12" ht="14.25">
      <c r="A10" s="1" t="s">
        <v>9</v>
      </c>
      <c r="B10" s="1">
        <f>((B3-$B$3)/21)+4</f>
      </c>
      <c r="C10" s="1">
        <f>((C3-$B$3)/21)+4</f>
      </c>
      <c r="D10" s="1">
        <f>((D3-$B$3)/21)+4</f>
      </c>
      <c r="E10" s="1">
        <f>((E3-$B$3)/21)+4</f>
      </c>
      <c r="F10" s="1">
        <f>((F3-$B$3)/21)+4</f>
      </c>
      <c r="G10" s="1">
        <f>((G3-$B$3)/21)+4</f>
      </c>
      <c r="H10" s="1">
        <f>((H3-$B$3)/21)+4</f>
      </c>
      <c r="I10" s="1">
        <f>((I3-$B$3)/21)+4</f>
      </c>
      <c r="J10" s="1">
        <f>((J3-$B$3)/21)+4</f>
      </c>
      <c r="K10" s="1">
        <f>((K3-$B$3)/21)+4</f>
      </c>
      <c r="L10" s="1">
        <f>((L3-$B$3)/21)+4</f>
      </c>
    </row>
    <row r="11" spans="1:12" ht="28.5">
      <c r="A11" s="1" t="s">
        <v>35</v>
      </c>
      <c r="B11" s="1">
        <v>0</v>
      </c>
      <c r="C11" s="1">
        <f>C18</f>
      </c>
      <c r="D11" s="1">
        <f>38+D18</f>
      </c>
      <c r="E11" s="1">
        <f>38+E18</f>
      </c>
      <c r="F11" s="1">
        <f>18+F18</f>
      </c>
      <c r="G11" s="1">
        <f>18+G18</f>
      </c>
      <c r="H11" s="1">
        <f>18+H18</f>
      </c>
      <c r="I11" s="1">
        <f>18+I18</f>
      </c>
      <c r="J11" s="1">
        <f>18+J18</f>
      </c>
      <c r="K11" s="1">
        <f>18+K18</f>
      </c>
      <c r="L11" s="1">
        <f>18+L18</f>
      </c>
    </row>
    <row r="12" spans="1:12" ht="14.25">
      <c r="A12" s="1" t="s">
        <v>55</v>
      </c>
      <c r="B12" s="1">
        <f>1980+B13</f>
      </c>
      <c r="C12" s="1">
        <f>1980+C13</f>
      </c>
      <c r="D12" s="1">
        <f>1980+D13</f>
      </c>
      <c r="E12" s="1">
        <f>1980+E13</f>
      </c>
      <c r="F12" s="1">
        <f>1980+F13</f>
      </c>
      <c r="G12" s="1">
        <f>1980+G13</f>
      </c>
      <c r="H12" s="1">
        <f>1980+H13</f>
      </c>
      <c r="I12" s="1">
        <f>1980+I13</f>
      </c>
      <c r="J12" s="1">
        <f>1980+J13</f>
      </c>
      <c r="K12" s="1">
        <f>1980+K13</f>
      </c>
      <c r="L12" s="1">
        <f>1980+L13</f>
      </c>
    </row>
    <row r="13" spans="1:12" ht="14.25">
      <c r="A13" s="1" t="s">
        <v>11</v>
      </c>
      <c r="B13" s="1">
        <f>50*(B4-$B$4)</f>
      </c>
      <c r="C13" s="1">
        <f>50*(C4-$B$4)</f>
      </c>
      <c r="D13" s="1">
        <f>50*(D4-$B$4)</f>
      </c>
      <c r="E13" s="1">
        <f>50*(E4-$B$4)</f>
      </c>
      <c r="F13" s="1">
        <f>50*(F4-$B$4)</f>
      </c>
      <c r="G13" s="1">
        <f>50*(G4-$B$4)</f>
      </c>
      <c r="H13" s="1">
        <f>50*(H4-$B$4)</f>
      </c>
      <c r="I13" s="1">
        <f>50*(I4-$B$4)</f>
      </c>
      <c r="J13" s="1">
        <f>50*(J4-$B$4)</f>
      </c>
      <c r="K13" s="1">
        <f>50*(K4-$B$4)</f>
      </c>
      <c r="L13" s="1">
        <f>50*(L4-$B$4)</f>
      </c>
    </row>
    <row r="14" spans="1:12" ht="14.25">
      <c r="A14" s="1" t="s">
        <v>5</v>
      </c>
      <c r="B14" s="1">
        <f>15082+(10*(B5-$B$5))</f>
      </c>
      <c r="C14" s="1">
        <f>15082+(10*(C5-$B$5))</f>
      </c>
      <c r="D14" s="1">
        <f>15082+(10*(D5-$B$5))</f>
      </c>
      <c r="E14" s="1">
        <f>15082+(10*(E5-$B$5))</f>
      </c>
      <c r="F14" s="1">
        <f>15082+(10*(F5-$B$5))</f>
      </c>
      <c r="G14" s="1">
        <f>15082+(10*(G5-$B$5))</f>
      </c>
      <c r="H14" s="1">
        <f>15082+(10*(H5-$B$5))</f>
      </c>
      <c r="I14" s="1">
        <f>15082+(10*(I5-$B$5))</f>
      </c>
      <c r="J14" s="1">
        <f>15082+(10*(J5-$B$5))</f>
      </c>
      <c r="K14" s="1">
        <f>15082+(10*(K5-$B$5))</f>
      </c>
      <c r="L14" s="1">
        <f>15082+(10*(L5-$B$5))</f>
      </c>
    </row>
    <row r="15" spans="1:12" ht="14.25">
      <c r="A15" s="1" t="s">
        <v>30</v>
      </c>
      <c r="B15" s="1">
        <v>0</v>
      </c>
      <c r="C15" s="1">
        <f>10*C20</f>
      </c>
      <c r="D15" s="1">
        <f>300+(10*D20)</f>
      </c>
      <c r="E15" s="1">
        <f>300+(10*E20)</f>
      </c>
      <c r="F15" s="1">
        <f>300+(10*F20)</f>
      </c>
      <c r="G15" s="1">
        <f>300+(10*G20)</f>
      </c>
      <c r="H15" s="1">
        <f>300+(10*H20)</f>
      </c>
      <c r="I15" s="1">
        <f>300+(10*I20)</f>
      </c>
      <c r="J15" s="1">
        <f>300+(10*J20)</f>
      </c>
      <c r="K15" s="1">
        <f>300+(10*K20)</f>
      </c>
      <c r="L15" s="1">
        <f>300+(10*L20)</f>
      </c>
    </row>
    <row r="16" ht="12.75" customHeight="1"/>
    <row r="17" spans="1:12" ht="14.25">
      <c r="A17" s="1" t="s">
        <v>31</v>
      </c>
      <c r="B17" s="1">
        <v>0</v>
      </c>
      <c r="C17" s="1">
        <v>0</v>
      </c>
      <c r="D17" s="1">
        <v>0</v>
      </c>
      <c r="E17" s="1">
        <v>20</v>
      </c>
      <c r="F17" s="1">
        <v>0</v>
      </c>
      <c r="G17" s="1">
        <v>20</v>
      </c>
      <c r="H17" s="1">
        <v>20</v>
      </c>
      <c r="I17" s="1">
        <v>20</v>
      </c>
      <c r="J17" s="1">
        <v>20</v>
      </c>
      <c r="K17" s="1">
        <v>20</v>
      </c>
      <c r="L17" s="1">
        <v>10</v>
      </c>
    </row>
    <row r="18" spans="1:12" ht="14.25">
      <c r="A18" s="1" t="s">
        <v>23</v>
      </c>
      <c r="B18" s="1">
        <v>0</v>
      </c>
      <c r="C18" s="1">
        <v>0</v>
      </c>
      <c r="D18" s="1">
        <v>20</v>
      </c>
      <c r="E18" s="1">
        <v>20</v>
      </c>
      <c r="F18" s="1">
        <v>20</v>
      </c>
      <c r="G18" s="1">
        <v>20</v>
      </c>
      <c r="H18" s="1">
        <v>30</v>
      </c>
      <c r="I18" s="1">
        <v>30</v>
      </c>
      <c r="J18" s="1">
        <v>30</v>
      </c>
      <c r="K18" s="1">
        <v>30</v>
      </c>
      <c r="L18" s="1">
        <v>30</v>
      </c>
    </row>
    <row r="19" spans="1:12" ht="14.25">
      <c r="A19" s="1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30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10</v>
      </c>
    </row>
    <row r="20" spans="1:12" ht="14.25">
      <c r="A20" s="1" t="s">
        <v>37</v>
      </c>
      <c r="B20" s="1">
        <v>0</v>
      </c>
      <c r="C20" s="1">
        <v>0</v>
      </c>
      <c r="D20" s="1">
        <v>30</v>
      </c>
      <c r="E20" s="1">
        <v>30</v>
      </c>
      <c r="F20" s="1">
        <v>0</v>
      </c>
      <c r="G20" s="1">
        <v>30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14.25">
      <c r="A21" s="1" t="s">
        <v>43</v>
      </c>
      <c r="B21" s="1">
        <v>0</v>
      </c>
      <c r="C21" s="1">
        <v>0</v>
      </c>
      <c r="D21" s="1">
        <v>20</v>
      </c>
      <c r="E21" s="1">
        <v>0</v>
      </c>
      <c r="F21" s="1">
        <v>20</v>
      </c>
      <c r="G21" s="1">
        <v>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</row>
    <row r="22" ht="12.75" customHeight="1"/>
    <row r="23" spans="1:12" ht="28.5">
      <c r="A23" s="1" t="s">
        <v>22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28.5">
      <c r="A24" s="1" t="s">
        <v>54</v>
      </c>
      <c r="B24" s="1">
        <v>0</v>
      </c>
      <c r="C24" s="1">
        <v>0</v>
      </c>
      <c r="D24" s="1">
        <v>0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</row>
    <row r="25" spans="1:12" ht="28.5">
      <c r="A25" s="1" t="s">
        <v>24</v>
      </c>
      <c r="B25" s="1">
        <v>0</v>
      </c>
      <c r="C25" s="1">
        <v>0</v>
      </c>
      <c r="D25" s="1">
        <v>1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4.25">
      <c r="A26" s="1" t="s">
        <v>46</v>
      </c>
      <c r="B26" s="1">
        <v>0</v>
      </c>
      <c r="C26" s="1">
        <v>0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</row>
    <row r="27" spans="1:12" ht="28.5">
      <c r="A27" s="1" t="s">
        <v>57</v>
      </c>
      <c r="B27" s="1">
        <v>0</v>
      </c>
      <c r="C27" s="1">
        <v>0</v>
      </c>
      <c r="D27" s="1">
        <v>1</v>
      </c>
      <c r="E27" s="1">
        <v>0</v>
      </c>
      <c r="F27" s="1">
        <v>1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</row>
    <row r="28" spans="1:12" ht="28.5">
      <c r="A28" s="1" t="s">
        <v>38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</row>
    <row r="29" ht="12.75" customHeight="1"/>
    <row r="30" spans="1:12" ht="28.5">
      <c r="A30" s="1" t="s">
        <v>25</v>
      </c>
      <c r="B30" s="1">
        <v>0.5</v>
      </c>
      <c r="C30" s="1">
        <f>(($B30*(1+(C25*0.15)))*(1+(C24*0.15)))*(1+(0.09*C28))</f>
      </c>
      <c r="D30" s="1">
        <f>(($B30*(1+(D25*0.15)))*(1+(D24*0.15)))*(1+(0.09*D28))</f>
      </c>
      <c r="E30" s="1">
        <f>(($B30*(1+(E25*0.15)))*(1+(E24*0.15)))*(1+(0.09*E28))</f>
      </c>
      <c r="F30" s="1">
        <f>(($B30*(1+(F25*0.15)))*(1+(F24*0.15)))*(1+(0.09*F28))</f>
      </c>
      <c r="G30" s="1">
        <f>(($B30*(1+(G25*0.15)))*(1+(G24*0.15)))*(1+(0.09*G28))</f>
      </c>
      <c r="H30" s="1">
        <f>(($B30*(1+(H25*0.15)))*(1+(H24*0.15)))*(1+(0.09*H28))</f>
      </c>
      <c r="I30" s="1">
        <f>(($B30*(1+(I25*0.15)))*(1+(I24*0.15)))*(1+(0.09*I28))</f>
      </c>
      <c r="J30" s="1">
        <f>(($B30*(1+(J25*0.15)))*(1+(J24*0.15)))*(1+(0.09*J28))</f>
      </c>
      <c r="K30" s="1">
        <f>(($B30*(1+(K25*0.15)))*(1+(K24*0.15)))*(1+(0.09*K28))</f>
      </c>
      <c r="L30" s="1">
        <f>(($B30*(1+(L25*0.15)))*(1+(L24*0.15)))*(1+(0.09*L28))</f>
      </c>
    </row>
    <row r="31" spans="1:12" ht="28.5">
      <c r="A31" s="1" t="s">
        <v>36</v>
      </c>
      <c r="B31" s="1">
        <f>((B$30*B$2)*B$7)/2000</f>
      </c>
      <c r="C31" s="1">
        <f>((C$30*C$2)*C$7)/2000</f>
      </c>
      <c r="D31" s="1">
        <f>((D$30*D$2)*D$7)/2000</f>
      </c>
      <c r="E31" s="1">
        <f>((E$30*E$2)*E$7)/2000</f>
      </c>
      <c r="F31" s="1">
        <f>((F$30*F$2)*F$7)/2000</f>
      </c>
      <c r="G31" s="1">
        <f>((G$30*G$2)*G$7)/2000</f>
      </c>
      <c r="H31" s="1">
        <f>((H$30*H$2)*H$7)/2000</f>
      </c>
      <c r="I31" s="1">
        <f>((I$30*I$2)*I$7)/2000</f>
      </c>
      <c r="J31" s="1">
        <f>((J$30*J$2)*J$7)/2000</f>
      </c>
      <c r="K31" s="1">
        <f>((K$30*K$2)*K$7)/2000</f>
      </c>
      <c r="L31" s="1">
        <f>((L$30*L$2)*L$7)/2000</f>
      </c>
    </row>
    <row r="32" spans="1:12" ht="28.5">
      <c r="A32" s="1" t="s">
        <v>1</v>
      </c>
      <c r="B32" s="1">
        <f>((B$30*B$2)*B$7)/2500</f>
      </c>
      <c r="C32" s="1">
        <f>((C$30*C$2)*C$7)/2500</f>
      </c>
      <c r="D32" s="1">
        <f>((D$30*D$2)*D$7)/2500</f>
      </c>
      <c r="E32" s="1">
        <f>((E$30*E$2)*E$7)/2500</f>
      </c>
      <c r="F32" s="1">
        <f>((F$30*F$2)*F$7)/2500</f>
      </c>
      <c r="G32" s="1">
        <f>((G$30*G$2)*G$7)/2500</f>
      </c>
      <c r="H32" s="1">
        <f>((H$30*H$2)*H$7)/2500</f>
      </c>
      <c r="I32" s="1">
        <f>((I$30*I$2)*I$7)/2500</f>
      </c>
      <c r="J32" s="1">
        <f>((J$30*J$2)*J$7)/2500</f>
      </c>
      <c r="K32" s="1">
        <f>((K$30*K$2)*K$7)/2500</f>
      </c>
      <c r="L32" s="1">
        <f>((L$30*L$2)*L$7)/2500</f>
      </c>
    </row>
    <row r="33" spans="1:12" ht="28.5">
      <c r="A33" s="1" t="s">
        <v>10</v>
      </c>
      <c r="B33" s="1">
        <f>((B$30*B$2)*B$7)/3000</f>
      </c>
      <c r="C33" s="1">
        <f>((C$30*C$2)*C$7)/3000</f>
      </c>
      <c r="D33" s="1">
        <f>((D$30*D$2)*D$7)/3000</f>
      </c>
      <c r="E33" s="1">
        <f>((E$30*E$2)*E$7)/3000</f>
      </c>
      <c r="F33" s="1">
        <f>((F$30*F$2)*F$7)/3000</f>
      </c>
      <c r="G33" s="1">
        <f>((G$30*G$2)*G$7)/3000</f>
      </c>
      <c r="H33" s="1">
        <f>((H$30*H$2)*H$7)/3000</f>
      </c>
      <c r="I33" s="1">
        <f>((I$30*I$2)*I$7)/3000</f>
      </c>
      <c r="J33" s="1">
        <f>((J$30*J$2)*J$7)/3000</f>
      </c>
      <c r="K33" s="1">
        <f>((K$30*K$2)*K$7)/3000</f>
      </c>
      <c r="L33" s="1">
        <f>((L$30*L$2)*L$7)/3000</f>
      </c>
    </row>
    <row r="34" spans="1:12" ht="14.25">
      <c r="A34" s="1" t="s">
        <v>49</v>
      </c>
      <c r="B34" s="1">
        <f>8*MIN(((B10/100)+(0.2*B26)),1)</f>
      </c>
      <c r="C34" s="1">
        <f>8*MIN(((C10/100)+(0.2*C26)),1)</f>
      </c>
      <c r="D34" s="1">
        <f>8*MIN(((D10/100)+(0.2*D26)),1)</f>
      </c>
      <c r="E34" s="1">
        <f>8*MIN(((E10/100)+(0.2*E26)),1)</f>
      </c>
      <c r="F34" s="1">
        <f>8*MIN(((F10/100)+(0.2*F26)),1)</f>
      </c>
      <c r="G34" s="1">
        <f>8*MIN(((G10/100)+(0.2*G26)),1)</f>
      </c>
      <c r="H34" s="1">
        <f>8*MIN(((H10/100)+(0.2*H26)),1)</f>
      </c>
      <c r="I34" s="1">
        <f>8*MIN(((I10/100)+(0.2*I26)),1)</f>
      </c>
      <c r="J34" s="1">
        <f>8*MIN(((J10/100)+(0.2*J26)),1)</f>
      </c>
      <c r="K34" s="1">
        <f>8*MIN(((K10/100)+(0.2*K26)),1)</f>
      </c>
      <c r="L34" s="1">
        <f>8*MIN(((L10/100)+(0.2*L26)),1)</f>
      </c>
    </row>
    <row r="35" spans="1:12" ht="28.5">
      <c r="A35" s="1" t="s">
        <v>4</v>
      </c>
      <c r="B35" s="1">
        <f>B31*(8+(B$34*(0.5+(B$11/10))))</f>
      </c>
      <c r="C35" s="1">
        <f>C31*(8+(C$34*(0.5+(C$11/100))))</f>
      </c>
      <c r="D35" s="1">
        <f>D31*(8+(D$34*(0.5+(D$11/100))))</f>
      </c>
      <c r="E35" s="1">
        <f>E31*(8+(E$34*(0.5+(E$11/100))))</f>
      </c>
      <c r="F35" s="1">
        <f>F31*(8+(F$34*(0.5+(F$11/100))))</f>
      </c>
      <c r="G35" s="1">
        <f>G31*(8+(G$34*(0.5+(G$11/100))))</f>
      </c>
      <c r="H35" s="1">
        <f>H31*(8+(H$34*(0.5+(H$11/100))))</f>
      </c>
      <c r="I35" s="1">
        <f>I31*(8+(I$34*(0.5+(I$11/100))))</f>
      </c>
      <c r="J35" s="1">
        <f>J31*(8+(J$34*(0.5+(J$11/100))))</f>
      </c>
      <c r="K35" s="1">
        <f>K31*(8+(K$34*(0.5+(K$11/100))))</f>
      </c>
      <c r="L35" s="1">
        <f>L31*(8+(L$34*(0.5+(L$11/100))))</f>
      </c>
    </row>
    <row r="36" spans="1:12" ht="28.5">
      <c r="A36" s="1" t="s">
        <v>7</v>
      </c>
      <c r="B36" s="1">
        <f>B32*(8+(B$34*(0.5+(B$11/10))))</f>
      </c>
      <c r="C36" s="1">
        <f>C32*(8+(C$34*(0.5+(C$11/100))))</f>
      </c>
      <c r="D36" s="1">
        <f>D32*(8+(D$34*(0.5+(D$11/100))))</f>
      </c>
      <c r="E36" s="1">
        <f>E32*(8+(E$34*(0.5+(E$11/100))))</f>
      </c>
      <c r="F36" s="1">
        <f>F32*(8+(F$34*(0.5+(F$11/100))))</f>
      </c>
      <c r="G36" s="1">
        <f>G32*(8+(G$34*(0.5+(G$11/100))))</f>
      </c>
      <c r="H36" s="1">
        <f>H32*(8+(H$34*(0.5+(H$11/100))))</f>
      </c>
      <c r="I36" s="1">
        <f>I32*(8+(I$34*(0.5+(I$11/100))))</f>
      </c>
      <c r="J36" s="1">
        <f>J32*(8+(J$34*(0.5+(J$11/100))))</f>
      </c>
      <c r="K36" s="1">
        <f>K32*(8+(K$34*(0.5+(K$11/100))))</f>
      </c>
      <c r="L36" s="1">
        <f>L32*(8+(L$34*(0.5+(L$11/100))))</f>
      </c>
    </row>
    <row r="37" spans="1:12" ht="28.5">
      <c r="A37" s="1" t="s">
        <v>33</v>
      </c>
      <c r="B37" s="1">
        <f>B33*(8+(B$34*(0.5+(B$11/10))))</f>
      </c>
      <c r="C37" s="1">
        <f>C33*(8+(C$34*(0.5+(C$11/100))))</f>
      </c>
      <c r="D37" s="1">
        <f>D33*(8+(D$34*(0.5+(D$11/100))))</f>
      </c>
      <c r="E37" s="1">
        <f>E33*(8+(E$34*(0.5+(E$11/100))))</f>
      </c>
      <c r="F37" s="1">
        <f>F33*(8+(F$34*(0.5+(F$11/100))))</f>
      </c>
      <c r="G37" s="1">
        <f>G33*(8+(G$34*(0.5+(G$11/100))))</f>
      </c>
      <c r="H37" s="1">
        <f>H33*(8+(H$34*(0.5+(H$11/100))))</f>
      </c>
      <c r="I37" s="1">
        <f>I33*(8+(I$34*(0.5+(I$11/100))))</f>
      </c>
      <c r="J37" s="1">
        <f>J33*(8+(J$34*(0.5+(J$11/100))))</f>
      </c>
      <c r="K37" s="1">
        <f>K33*(8+(K$34*(0.5+(K$11/100))))</f>
      </c>
      <c r="L37" s="1">
        <f>L33*(8+(L$34*(0.5+(L$11/100))))</f>
      </c>
    </row>
    <row r="38" ht="12.75" customHeight="1"/>
    <row r="39" spans="1:12" ht="28.5">
      <c r="A39" s="1" t="s">
        <v>50</v>
      </c>
      <c r="B39" s="1">
        <f>40+(0.05*B8)</f>
      </c>
      <c r="C39" s="1">
        <f>40+(0.05*C8)</f>
      </c>
      <c r="D39" s="1">
        <f>40+(0.05*D8)</f>
      </c>
      <c r="E39" s="1">
        <f>40+(0.05*E8)</f>
      </c>
      <c r="F39" s="1">
        <f>40+(0.05*F8)</f>
      </c>
      <c r="G39" s="1">
        <f>40+(0.05*G8)</f>
      </c>
      <c r="H39" s="1">
        <f>40+(0.05*H8)</f>
      </c>
      <c r="I39" s="1">
        <f>40+(0.05*I8)</f>
      </c>
      <c r="J39" s="1">
        <f>40+(0.05*J8)</f>
      </c>
      <c r="K39" s="1">
        <f>40+(0.05*K8)</f>
      </c>
      <c r="L39" s="1">
        <f>40+(0.05*L8)</f>
      </c>
    </row>
    <row r="40" spans="1:12" ht="28.5">
      <c r="A40" s="1" t="s">
        <v>61</v>
      </c>
      <c r="B40" s="1">
        <f>5*(1+(B9/100))</f>
      </c>
      <c r="C40" s="1">
        <f>5*(1+(C9/100))</f>
      </c>
      <c r="D40" s="1">
        <f>5*(1+(D9/100))</f>
      </c>
      <c r="E40" s="1">
        <f>5*(1+(E9/100))</f>
      </c>
      <c r="F40" s="1">
        <f>5*(1+(F9/100))</f>
      </c>
      <c r="G40" s="1">
        <f>5*(1+(G9/100))</f>
      </c>
      <c r="H40" s="1">
        <f>5*(1+(H9/100))</f>
      </c>
      <c r="I40" s="1">
        <f>5*(1+(I9/100))</f>
      </c>
      <c r="J40" s="1">
        <f>5*(1+(J9/100))</f>
      </c>
      <c r="K40" s="1">
        <f>5*(1+(K9/100))</f>
      </c>
      <c r="L40" s="1">
        <f>5*(1+(L9/100))</f>
      </c>
    </row>
    <row r="41" spans="1:12" ht="14.25">
      <c r="A41" s="1" t="s">
        <v>6</v>
      </c>
      <c r="B41" s="1">
        <f>(FLOOR(B40,1)*B39)*B34</f>
      </c>
      <c r="C41" s="1">
        <f>(FLOOR(C40,1)*C39)*C34</f>
      </c>
      <c r="D41" s="1">
        <f>(FLOOR(D40,1)*D39)*D34</f>
      </c>
      <c r="E41" s="1">
        <f>(FLOOR(E40,1)*E39)*E34</f>
      </c>
      <c r="F41" s="1">
        <f>(FLOOR(F40,1)*F39)*F34</f>
      </c>
      <c r="G41" s="1">
        <f>(FLOOR(G40,1)*G39)*G34</f>
      </c>
      <c r="H41" s="1">
        <f>(FLOOR(H40,1)*H39)*H34</f>
      </c>
      <c r="I41" s="1">
        <f>(FLOOR(I40,1)*I39)*I34</f>
      </c>
      <c r="J41" s="1">
        <f>(FLOOR(J40,1)*J39)*J34</f>
      </c>
      <c r="K41" s="1">
        <f>(FLOOR(K40,1)*K39)*K34</f>
      </c>
      <c r="L41" s="1">
        <f>(FLOOR(L40,1)*L39)*L34</f>
      </c>
    </row>
    <row r="42" ht="12.75" customHeight="1"/>
    <row r="43" spans="1:12" ht="14.25">
      <c r="A43" s="1" t="s">
        <v>27</v>
      </c>
      <c r="B43" s="1">
        <f>10*(1-(B27/5))</f>
      </c>
      <c r="C43" s="1">
        <f>10*(1-(C27/5))</f>
      </c>
      <c r="D43" s="1">
        <f>10*(1-(D27/5))</f>
      </c>
      <c r="E43" s="1">
        <f>10*(1-(E27/5))</f>
      </c>
      <c r="F43" s="1">
        <f>10*(1-(F27/5))</f>
      </c>
      <c r="G43" s="1">
        <f>10*(1-(G27/5))</f>
      </c>
      <c r="H43" s="1">
        <f>10*(1-(H27/5))</f>
      </c>
      <c r="I43" s="1">
        <f>10*(1-(I27/5))</f>
      </c>
      <c r="J43" s="1">
        <f>10*(1-(J27/5))</f>
      </c>
      <c r="K43" s="1">
        <f>10*(1-(K27/5))</f>
      </c>
      <c r="L43" s="1">
        <f>10*(1-(L27/5))</f>
      </c>
    </row>
    <row r="44" spans="1:12" ht="28.5">
      <c r="A44" s="1" t="s">
        <v>14</v>
      </c>
      <c r="B44" s="1">
        <f>(B35+B$41)/B$43</f>
      </c>
      <c r="C44" s="1">
        <f>(C35+C$41)/C$43</f>
      </c>
      <c r="D44" s="1">
        <f>(D35+D$41)/D$43</f>
      </c>
      <c r="E44" s="1">
        <f>(E35+E$41)/E$43</f>
      </c>
      <c r="F44" s="1">
        <f>(F35+F$41)/F$43</f>
      </c>
      <c r="G44" s="1">
        <f>(G35+G$41)/G$43</f>
      </c>
      <c r="H44" s="1">
        <f>(H35+H$41)/H$43</f>
      </c>
      <c r="I44" s="1">
        <f>(I35+I$41)/I$43</f>
      </c>
      <c r="J44" s="1">
        <f>(J35+J$41)/J$43</f>
      </c>
      <c r="K44" s="1">
        <f>(K35+K$41)/K$43</f>
      </c>
      <c r="L44" s="1">
        <f>(L35+L$41)/L$43</f>
      </c>
    </row>
    <row r="45" spans="1:12" ht="28.5">
      <c r="A45" s="1" t="s">
        <v>2</v>
      </c>
      <c r="B45" s="1">
        <f>(B36+B$41)/B$43</f>
      </c>
      <c r="C45" s="1">
        <f>(C36+C$41)/C$43</f>
      </c>
      <c r="D45" s="1">
        <f>(D36+D$41)/D$43</f>
      </c>
      <c r="E45" s="1">
        <f>(E36+E$41)/E$43</f>
      </c>
      <c r="F45" s="1">
        <f>(F36+F$41)/F$43</f>
      </c>
      <c r="G45" s="1">
        <f>(G36+G$41)/G$43</f>
      </c>
      <c r="H45" s="1">
        <f>(H36+H$41)/H$43</f>
      </c>
      <c r="I45" s="1">
        <f>(I36+I$41)/I$43</f>
      </c>
      <c r="J45" s="1">
        <f>(J36+J$41)/J$43</f>
      </c>
      <c r="K45" s="1">
        <f>(K36+K$41)/K$43</f>
      </c>
      <c r="L45" s="1">
        <f>(L36+L$41)/L$43</f>
      </c>
    </row>
    <row r="46" spans="1:12" ht="28.5">
      <c r="A46" s="1" t="s">
        <v>15</v>
      </c>
      <c r="B46" s="1">
        <f>(B37+B$41)/B$43</f>
      </c>
      <c r="C46" s="1">
        <f>(C37+C$41)/C$43</f>
      </c>
      <c r="D46" s="1">
        <f>(D37+D$41)/D$43</f>
      </c>
      <c r="E46" s="1">
        <f>(E37+E$41)/E$43</f>
      </c>
      <c r="F46" s="1">
        <f>(F37+F$41)/F$43</f>
      </c>
      <c r="G46" s="1">
        <f>(G37+G$41)/G$43</f>
      </c>
      <c r="H46" s="1">
        <f>(H37+H$41)/H$43</f>
      </c>
      <c r="I46" s="1">
        <f>(I37+I$41)/I$43</f>
      </c>
      <c r="J46" s="1">
        <f>(J37+J$41)/J$43</f>
      </c>
      <c r="K46" s="1">
        <f>(K37+K$41)/K$43</f>
      </c>
      <c r="L46" s="1">
        <f>(L37+L$41)/L$43</f>
      </c>
    </row>
    <row r="47" ht="12.75" customHeight="1"/>
    <row r="48" ht="12.75" customHeight="1"/>
    <row r="49" ht="14.25">
      <c r="A49" s="1" t="s">
        <v>21</v>
      </c>
    </row>
    <row r="50" ht="99.75">
      <c r="B50" s="1" t="s">
        <v>18</v>
      </c>
    </row>
    <row r="51" ht="42.75">
      <c r="B51" s="1" t="s">
        <v>53</v>
      </c>
    </row>
    <row r="52" ht="57">
      <c r="B52" s="1" t="s">
        <v>56</v>
      </c>
    </row>
    <row r="53" ht="85.5">
      <c r="B53" s="1" t="s">
        <v>39</v>
      </c>
    </row>
    <row r="54" ht="42.75">
      <c r="B54" s="1" t="s">
        <v>28</v>
      </c>
    </row>
    <row r="55" ht="42.75">
      <c r="B55" s="1" t="s">
        <v>48</v>
      </c>
    </row>
    <row r="56" ht="12.75" customHeight="1"/>
    <row r="57" ht="12.75" customHeight="1"/>
    <row r="58" ht="14.25">
      <c r="A58" s="1" t="s">
        <v>34</v>
      </c>
    </row>
    <row r="59" ht="57">
      <c r="B59" s="1" t="s">
        <v>0</v>
      </c>
    </row>
    <row r="60" spans="2:5" ht="71.25">
      <c r="B60" s="1" t="s">
        <v>8</v>
      </c>
      <c r="E60" s="1" t="s">
        <v>47</v>
      </c>
    </row>
    <row r="61" spans="2:5" ht="71.25">
      <c r="B61" s="1" t="s">
        <v>45</v>
      </c>
      <c r="E61" s="1" t="s">
        <v>3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mergeCells count="9">
    <mergeCell ref="B50:D50"/>
    <mergeCell ref="B51:D51"/>
    <mergeCell ref="B52:D52"/>
    <mergeCell ref="B53:D53"/>
    <mergeCell ref="B54:D54"/>
    <mergeCell ref="B55:D55"/>
    <mergeCell ref="B59:D59"/>
    <mergeCell ref="B60:D60"/>
    <mergeCell ref="B61:D6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